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025" windowHeight="8535" activeTab="0"/>
  </bookViews>
  <sheets>
    <sheet name="tipoefectivo" sheetId="1" r:id="rId1"/>
    <sheet name="prestamo" sheetId="2" r:id="rId2"/>
    <sheet name="costeamortizado" sheetId="3" r:id="rId3"/>
    <sheet name="Hoja2" sheetId="4" r:id="rId4"/>
    <sheet name="Hoja3" sheetId="5" r:id="rId5"/>
  </sheets>
  <externalReferences>
    <externalReference r:id="rId8"/>
  </externalReferences>
  <definedNames>
    <definedName name="LISTA">'[1]B'!$B$2:$C$24</definedName>
  </definedNames>
  <calcPr fullCalcOnLoad="1"/>
</workbook>
</file>

<file path=xl/sharedStrings.xml><?xml version="1.0" encoding="utf-8"?>
<sst xmlns="http://schemas.openxmlformats.org/spreadsheetml/2006/main" count="70" uniqueCount="48">
  <si>
    <t>CALCULO DEL TIPO EFECTIVO DE UN PRESTAMO AMORTIZADO MEDIANTE SISTEMA FRANCES</t>
  </si>
  <si>
    <t>PRINCIPAL PRESTAMO</t>
  </si>
  <si>
    <t>T. INTERES NOMINAL</t>
  </si>
  <si>
    <t>PLAZO Nº AÑOS</t>
  </si>
  <si>
    <t>DATOS DE LA OPERACIÓN</t>
  </si>
  <si>
    <t>PERIODICIDAD</t>
  </si>
  <si>
    <t>T. INTERES PERIOIDAL</t>
  </si>
  <si>
    <t>Nº TOTAL DE PERIODOS</t>
  </si>
  <si>
    <t>COMISIONES BANCO</t>
  </si>
  <si>
    <t>FEDATARIO</t>
  </si>
  <si>
    <t>TRIBUTOS</t>
  </si>
  <si>
    <t>REGISTRO</t>
  </si>
  <si>
    <t>TASADOR</t>
  </si>
  <si>
    <t>GESTORIA</t>
  </si>
  <si>
    <t>OTROS</t>
  </si>
  <si>
    <t>TOTAL GASTOS</t>
  </si>
  <si>
    <t>GASTOS POR:</t>
  </si>
  <si>
    <t>TIPO DE INTERES EFECTIVO</t>
  </si>
  <si>
    <t>TASA ANUAL EQUIVALENTE GLOBAL</t>
  </si>
  <si>
    <t>CALCULO DE PRESTAMOS</t>
  </si>
  <si>
    <t>Mensual</t>
  </si>
  <si>
    <t>Trimestral</t>
  </si>
  <si>
    <t>PRINCIPAL</t>
  </si>
  <si>
    <t>Anual</t>
  </si>
  <si>
    <t>INT.AN.NOM.</t>
  </si>
  <si>
    <t>RED PERIODO..</t>
  </si>
  <si>
    <t>AÑOS</t>
  </si>
  <si>
    <t>PERIODOS DE PAGO</t>
  </si>
  <si>
    <t>FRECUENCIA</t>
  </si>
  <si>
    <t>PAGOS</t>
  </si>
  <si>
    <t>PAGO PERIODO</t>
  </si>
  <si>
    <t>CUADRO AMORTIZACION PRESTAMO</t>
  </si>
  <si>
    <t>PERIODO</t>
  </si>
  <si>
    <t>CUOTA</t>
  </si>
  <si>
    <t>AMORTIZACION</t>
  </si>
  <si>
    <t>INTERESES</t>
  </si>
  <si>
    <t>Tipo efectivo</t>
  </si>
  <si>
    <t>Prestamo</t>
  </si>
  <si>
    <t>COSTE TOTAL AMORTIZADO</t>
  </si>
  <si>
    <t>INTERES EFECTIVO</t>
  </si>
  <si>
    <t>TASA ANUAL GLOBLAL</t>
  </si>
  <si>
    <t>Coste amortizado</t>
  </si>
  <si>
    <t>Bimensual</t>
  </si>
  <si>
    <t>Cuatrimestral</t>
  </si>
  <si>
    <t>Semestral</t>
  </si>
  <si>
    <t>AÑO</t>
  </si>
  <si>
    <t>CUADRO COSTE TOTAL AMORTIZADO</t>
  </si>
  <si>
    <t>PRINCIPAL PENDIENTE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</si>
</sst>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0.000000%"/>
    <numFmt numFmtId="166" formatCode="0.000%"/>
    <numFmt numFmtId="167" formatCode="0.0000"/>
    <numFmt numFmtId="168" formatCode="#,##0.00\ \€;\-#,##0.00\ \€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,##0\ \€;\-#,##0\ \€"/>
    <numFmt numFmtId="178" formatCode="#,##0.00_ ;[Red]\-#,##0.00\ "/>
    <numFmt numFmtId="179" formatCode="#,##0.00\ [$€-1];\-#,##0.00\ [$€-1]"/>
    <numFmt numFmtId="180" formatCode="#,##0_ ;[Red]\-#,##0\ "/>
    <numFmt numFmtId="181" formatCode="#,##0.00\ [$€-1];[Red]\-#,##0.00\ [$€-1]"/>
    <numFmt numFmtId="182" formatCode="\&gt;"/>
    <numFmt numFmtId="183" formatCode="#,##0\ [$pta-40A];[Red]\-#,##0\ [$pta-40A]"/>
    <numFmt numFmtId="184" formatCode="#,##0.0"/>
    <numFmt numFmtId="185" formatCode="#,##0\ &quot;pta&quot;"/>
    <numFmt numFmtId="186" formatCode=";;"/>
    <numFmt numFmtId="187" formatCode="#,##0\ &quot;€&quot;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#,##0_);\(#,##0\)"/>
    <numFmt numFmtId="206" formatCode="\."/>
    <numFmt numFmtId="207" formatCode="0.00_ ;[Red]\-0.00\ "/>
    <numFmt numFmtId="208" formatCode="0.0000000000000"/>
    <numFmt numFmtId="209" formatCode="0.000000"/>
    <numFmt numFmtId="210" formatCode="0.0000000000"/>
    <numFmt numFmtId="211" formatCode="0.0000000"/>
    <numFmt numFmtId="212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32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4" fillId="33" borderId="10" xfId="0" applyNumberFormat="1" applyFont="1" applyFill="1" applyBorder="1" applyAlignment="1" applyProtection="1">
      <alignment/>
      <protection hidden="1"/>
    </xf>
    <xf numFmtId="1" fontId="4" fillId="33" borderId="11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5" fillId="35" borderId="13" xfId="0" applyFont="1" applyFill="1" applyBorder="1" applyAlignment="1" applyProtection="1">
      <alignment/>
      <protection hidden="1"/>
    </xf>
    <xf numFmtId="0" fontId="5" fillId="35" borderId="14" xfId="0" applyFont="1" applyFill="1" applyBorder="1" applyAlignment="1" applyProtection="1">
      <alignment/>
      <protection hidden="1"/>
    </xf>
    <xf numFmtId="0" fontId="5" fillId="35" borderId="15" xfId="0" applyFont="1" applyFill="1" applyBorder="1" applyAlignment="1" applyProtection="1">
      <alignment/>
      <protection hidden="1"/>
    </xf>
    <xf numFmtId="0" fontId="1" fillId="36" borderId="12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164" fontId="3" fillId="37" borderId="12" xfId="0" applyNumberFormat="1" applyFont="1" applyFill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8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53" applyProtection="1">
      <alignment/>
      <protection hidden="1"/>
    </xf>
    <xf numFmtId="0" fontId="9" fillId="0" borderId="0" xfId="53" applyFont="1" applyAlignment="1" applyProtection="1" quotePrefix="1">
      <alignment horizontal="left"/>
      <protection hidden="1"/>
    </xf>
    <xf numFmtId="0" fontId="10" fillId="0" borderId="0" xfId="53" applyFont="1" applyProtection="1">
      <alignment/>
      <protection hidden="1"/>
    </xf>
    <xf numFmtId="0" fontId="0" fillId="0" borderId="0" xfId="53" applyFont="1" applyProtection="1">
      <alignment/>
      <protection hidden="1"/>
    </xf>
    <xf numFmtId="0" fontId="5" fillId="0" borderId="0" xfId="53" applyFont="1" applyProtection="1">
      <alignment/>
      <protection hidden="1"/>
    </xf>
    <xf numFmtId="3" fontId="11" fillId="0" borderId="0" xfId="53" applyNumberFormat="1" applyFont="1" applyAlignment="1" applyProtection="1">
      <alignment horizontal="center"/>
      <protection hidden="1"/>
    </xf>
    <xf numFmtId="0" fontId="5" fillId="0" borderId="0" xfId="53" applyFont="1" applyAlignment="1" applyProtection="1" quotePrefix="1">
      <alignment horizontal="left"/>
      <protection hidden="1"/>
    </xf>
    <xf numFmtId="10" fontId="11" fillId="0" borderId="0" xfId="53" applyNumberFormat="1" applyFont="1" applyAlignment="1" applyProtection="1">
      <alignment horizontal="center"/>
      <protection hidden="1"/>
    </xf>
    <xf numFmtId="0" fontId="11" fillId="0" borderId="0" xfId="53" applyFont="1" applyAlignment="1" applyProtection="1">
      <alignment horizontal="center"/>
      <protection hidden="1"/>
    </xf>
    <xf numFmtId="0" fontId="12" fillId="39" borderId="16" xfId="53" applyFont="1" applyFill="1" applyBorder="1" applyAlignment="1" applyProtection="1">
      <alignment horizontal="left"/>
      <protection hidden="1"/>
    </xf>
    <xf numFmtId="4" fontId="12" fillId="39" borderId="17" xfId="53" applyNumberFormat="1" applyFont="1" applyFill="1" applyBorder="1" applyProtection="1">
      <alignment/>
      <protection hidden="1"/>
    </xf>
    <xf numFmtId="0" fontId="5" fillId="0" borderId="0" xfId="53" applyFont="1" applyAlignment="1" applyProtection="1">
      <alignment horizontal="center"/>
      <protection hidden="1"/>
    </xf>
    <xf numFmtId="186" fontId="0" fillId="0" borderId="0" xfId="53" applyNumberFormat="1" applyProtection="1">
      <alignment/>
      <protection hidden="1"/>
    </xf>
    <xf numFmtId="0" fontId="0" fillId="0" borderId="0" xfId="53" applyAlignment="1" applyProtection="1">
      <alignment horizontal="center"/>
      <protection hidden="1"/>
    </xf>
    <xf numFmtId="10" fontId="1" fillId="0" borderId="0" xfId="53" applyNumberFormat="1" applyFont="1" applyAlignment="1" applyProtection="1">
      <alignment horizontal="center"/>
      <protection locked="0"/>
    </xf>
    <xf numFmtId="0" fontId="1" fillId="0" borderId="0" xfId="53" applyFont="1" applyAlignment="1" applyProtection="1">
      <alignment horizontal="center"/>
      <protection locked="0"/>
    </xf>
    <xf numFmtId="0" fontId="5" fillId="0" borderId="0" xfId="53" applyFont="1" applyAlignment="1" applyProtection="1">
      <alignment horizontal="center"/>
      <protection hidden="1"/>
    </xf>
    <xf numFmtId="0" fontId="7" fillId="0" borderId="0" xfId="45" applyAlignment="1" applyProtection="1">
      <alignment/>
      <protection hidden="1"/>
    </xf>
    <xf numFmtId="0" fontId="5" fillId="0" borderId="0" xfId="53" applyFont="1" applyAlignment="1" applyProtection="1">
      <alignment horizontal="left"/>
      <protection hidden="1"/>
    </xf>
    <xf numFmtId="0" fontId="3" fillId="0" borderId="0" xfId="53" applyFont="1" applyAlignment="1" applyProtection="1">
      <alignment horizontal="center"/>
      <protection hidden="1"/>
    </xf>
    <xf numFmtId="4" fontId="0" fillId="0" borderId="0" xfId="53" applyNumberFormat="1" applyProtection="1">
      <alignment/>
      <protection hidden="1"/>
    </xf>
    <xf numFmtId="4" fontId="0" fillId="0" borderId="0" xfId="53" applyNumberFormat="1" applyAlignment="1" applyProtection="1">
      <alignment horizontal="center"/>
      <protection hidden="1"/>
    </xf>
    <xf numFmtId="4" fontId="0" fillId="0" borderId="0" xfId="53" applyNumberFormat="1" applyAlignment="1" applyProtection="1">
      <alignment horizontal="right"/>
      <protection hidden="1"/>
    </xf>
    <xf numFmtId="0" fontId="1" fillId="35" borderId="18" xfId="0" applyFont="1" applyFill="1" applyBorder="1" applyAlignment="1" applyProtection="1">
      <alignment horizontal="center"/>
      <protection hidden="1"/>
    </xf>
    <xf numFmtId="0" fontId="1" fillId="35" borderId="11" xfId="0" applyFont="1" applyFill="1" applyBorder="1" applyAlignment="1" applyProtection="1">
      <alignment horizontal="center"/>
      <protection hidden="1"/>
    </xf>
    <xf numFmtId="0" fontId="1" fillId="35" borderId="19" xfId="0" applyFont="1" applyFill="1" applyBorder="1" applyAlignment="1" applyProtection="1">
      <alignment horizontal="center"/>
      <protection hidden="1"/>
    </xf>
    <xf numFmtId="0" fontId="1" fillId="35" borderId="20" xfId="0" applyFont="1" applyFill="1" applyBorder="1" applyAlignment="1" applyProtection="1">
      <alignment horizontal="center"/>
      <protection hidden="1"/>
    </xf>
    <xf numFmtId="0" fontId="1" fillId="38" borderId="16" xfId="0" applyFont="1" applyFill="1" applyBorder="1" applyAlignment="1" applyProtection="1">
      <alignment horizontal="center"/>
      <protection hidden="1"/>
    </xf>
    <xf numFmtId="0" fontId="1" fillId="38" borderId="17" xfId="0" applyFont="1" applyFill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40" borderId="21" xfId="0" applyFont="1" applyFill="1" applyBorder="1" applyAlignment="1" applyProtection="1">
      <alignment horizontal="center" vertical="center" wrapText="1"/>
      <protection hidden="1"/>
    </xf>
    <xf numFmtId="0" fontId="3" fillId="40" borderId="22" xfId="0" applyFont="1" applyFill="1" applyBorder="1" applyAlignment="1" applyProtection="1">
      <alignment horizontal="center" vertical="center" wrapText="1"/>
      <protection hidden="1"/>
    </xf>
    <xf numFmtId="0" fontId="3" fillId="40" borderId="10" xfId="0" applyFont="1" applyFill="1" applyBorder="1" applyAlignment="1" applyProtection="1">
      <alignment horizontal="center" vertical="center" wrapText="1"/>
      <protection hidden="1"/>
    </xf>
    <xf numFmtId="0" fontId="3" fillId="40" borderId="19" xfId="0" applyFont="1" applyFill="1" applyBorder="1" applyAlignment="1" applyProtection="1">
      <alignment horizontal="center" vertical="center" wrapText="1"/>
      <protection hidden="1"/>
    </xf>
    <xf numFmtId="0" fontId="3" fillId="40" borderId="0" xfId="0" applyFont="1" applyFill="1" applyBorder="1" applyAlignment="1" applyProtection="1">
      <alignment horizontal="center" vertical="center" wrapText="1"/>
      <protection hidden="1"/>
    </xf>
    <xf numFmtId="0" fontId="3" fillId="40" borderId="20" xfId="0" applyFont="1" applyFill="1" applyBorder="1" applyAlignment="1" applyProtection="1">
      <alignment horizontal="center" vertical="center" wrapText="1"/>
      <protection hidden="1"/>
    </xf>
    <xf numFmtId="0" fontId="3" fillId="40" borderId="18" xfId="0" applyFont="1" applyFill="1" applyBorder="1" applyAlignment="1" applyProtection="1">
      <alignment horizontal="center" vertical="center" wrapText="1"/>
      <protection hidden="1"/>
    </xf>
    <xf numFmtId="0" fontId="3" fillId="40" borderId="23" xfId="0" applyFont="1" applyFill="1" applyBorder="1" applyAlignment="1" applyProtection="1">
      <alignment horizontal="center" vertical="center" wrapText="1"/>
      <protection hidden="1"/>
    </xf>
    <xf numFmtId="0" fontId="3" fillId="40" borderId="11" xfId="0" applyFont="1" applyFill="1" applyBorder="1" applyAlignment="1" applyProtection="1">
      <alignment horizontal="center" vertical="center" wrapText="1"/>
      <protection hidden="1"/>
    </xf>
    <xf numFmtId="0" fontId="3" fillId="38" borderId="16" xfId="0" applyFont="1" applyFill="1" applyBorder="1" applyAlignment="1" applyProtection="1">
      <alignment horizontal="center"/>
      <protection hidden="1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0" fontId="3" fillId="34" borderId="24" xfId="0" applyFont="1" applyFill="1" applyBorder="1" applyAlignment="1" applyProtection="1">
      <alignment horizontal="center"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0" fontId="1" fillId="35" borderId="21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0" fontId="13" fillId="0" borderId="0" xfId="53" applyFont="1" applyAlignment="1" applyProtection="1">
      <alignment horizontal="center" vertical="center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8">
    <dxf>
      <font>
        <b/>
        <i val="0"/>
        <color indexed="12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solid">
          <bgColor indexed="22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ont>
        <color auto="1"/>
      </font>
    </dxf>
    <dxf>
      <font>
        <color auto="1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NTERIOR\Julio\Personal\financiero\REGALO\n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1">
        <row r="2">
          <cell r="B2">
            <v>1</v>
          </cell>
          <cell r="C2" t="str">
            <v>T</v>
          </cell>
        </row>
        <row r="3">
          <cell r="B3">
            <v>2</v>
          </cell>
          <cell r="C3" t="str">
            <v>R</v>
          </cell>
        </row>
        <row r="4">
          <cell r="B4">
            <v>3</v>
          </cell>
          <cell r="C4" t="str">
            <v>W</v>
          </cell>
        </row>
        <row r="5">
          <cell r="B5">
            <v>4</v>
          </cell>
          <cell r="C5" t="str">
            <v>A</v>
          </cell>
        </row>
        <row r="6">
          <cell r="B6">
            <v>5</v>
          </cell>
          <cell r="C6" t="str">
            <v>G</v>
          </cell>
        </row>
        <row r="7">
          <cell r="B7">
            <v>6</v>
          </cell>
          <cell r="C7" t="str">
            <v>M</v>
          </cell>
        </row>
        <row r="8">
          <cell r="B8">
            <v>7</v>
          </cell>
          <cell r="C8" t="str">
            <v>Y</v>
          </cell>
        </row>
        <row r="9">
          <cell r="B9">
            <v>8</v>
          </cell>
          <cell r="C9" t="str">
            <v>F</v>
          </cell>
        </row>
        <row r="10">
          <cell r="B10">
            <v>9</v>
          </cell>
          <cell r="C10" t="str">
            <v>P</v>
          </cell>
        </row>
        <row r="11">
          <cell r="B11">
            <v>10</v>
          </cell>
          <cell r="C11" t="str">
            <v>D</v>
          </cell>
        </row>
        <row r="12">
          <cell r="B12">
            <v>11</v>
          </cell>
          <cell r="C12" t="str">
            <v>X</v>
          </cell>
        </row>
        <row r="13">
          <cell r="B13">
            <v>12</v>
          </cell>
          <cell r="C13" t="str">
            <v>B</v>
          </cell>
        </row>
        <row r="14">
          <cell r="B14">
            <v>13</v>
          </cell>
          <cell r="C14" t="str">
            <v>N</v>
          </cell>
        </row>
        <row r="15">
          <cell r="B15">
            <v>14</v>
          </cell>
          <cell r="C15" t="str">
            <v>J</v>
          </cell>
        </row>
        <row r="16">
          <cell r="B16">
            <v>15</v>
          </cell>
          <cell r="C16" t="str">
            <v>Z</v>
          </cell>
        </row>
        <row r="17">
          <cell r="B17">
            <v>16</v>
          </cell>
          <cell r="C17" t="str">
            <v>S</v>
          </cell>
        </row>
        <row r="18">
          <cell r="B18">
            <v>17</v>
          </cell>
          <cell r="C18" t="str">
            <v>Q</v>
          </cell>
        </row>
        <row r="19">
          <cell r="B19">
            <v>18</v>
          </cell>
          <cell r="C19" t="str">
            <v>V</v>
          </cell>
        </row>
        <row r="20">
          <cell r="B20">
            <v>19</v>
          </cell>
          <cell r="C20" t="str">
            <v>H</v>
          </cell>
        </row>
        <row r="21">
          <cell r="B21">
            <v>20</v>
          </cell>
          <cell r="C21" t="str">
            <v>L</v>
          </cell>
        </row>
        <row r="22">
          <cell r="B22">
            <v>21</v>
          </cell>
          <cell r="C22" t="str">
            <v>C</v>
          </cell>
        </row>
        <row r="23">
          <cell r="B23">
            <v>22</v>
          </cell>
          <cell r="C23" t="str">
            <v>K</v>
          </cell>
        </row>
        <row r="24">
          <cell r="B24">
            <v>23</v>
          </cell>
          <cell r="C24" t="str">
            <v>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1:IV29"/>
  <sheetViews>
    <sheetView showGridLines="0" tabSelected="1" zoomScalePageLayoutView="0" workbookViewId="0" topLeftCell="A1">
      <selection activeCell="H15" sqref="H15"/>
    </sheetView>
  </sheetViews>
  <sheetFormatPr defaultColWidth="13.140625" defaultRowHeight="12.75"/>
  <cols>
    <col min="1" max="3" width="11.421875" style="1" customWidth="1"/>
    <col min="4" max="4" width="31.8515625" style="1" customWidth="1"/>
    <col min="5" max="5" width="20.8515625" style="1" customWidth="1"/>
    <col min="6" max="6" width="11.421875" style="1" customWidth="1"/>
    <col min="7" max="7" width="14.8515625" style="1" customWidth="1"/>
    <col min="8" max="253" width="11.421875" style="1" customWidth="1"/>
    <col min="254" max="254" width="12.7109375" style="1" customWidth="1"/>
    <col min="255" max="255" width="16.7109375" style="1" customWidth="1"/>
    <col min="256" max="16384" width="13.140625" style="1" customWidth="1"/>
  </cols>
  <sheetData>
    <row r="1" spans="255:256" ht="12.75">
      <c r="IU1" s="1" t="s">
        <v>20</v>
      </c>
      <c r="IV1" s="1">
        <v>12</v>
      </c>
    </row>
    <row r="2" spans="3:256" ht="12.75">
      <c r="C2" s="49" t="s">
        <v>0</v>
      </c>
      <c r="D2" s="50"/>
      <c r="E2" s="50"/>
      <c r="F2" s="50"/>
      <c r="G2" s="51"/>
      <c r="IU2" s="1" t="s">
        <v>42</v>
      </c>
      <c r="IV2" s="1">
        <v>6</v>
      </c>
    </row>
    <row r="3" spans="3:256" ht="12.75">
      <c r="C3" s="52"/>
      <c r="D3" s="53"/>
      <c r="E3" s="53"/>
      <c r="F3" s="53"/>
      <c r="G3" s="54"/>
      <c r="IU3" s="1" t="s">
        <v>43</v>
      </c>
      <c r="IV3" s="1">
        <v>3</v>
      </c>
    </row>
    <row r="4" spans="3:256" ht="12.75">
      <c r="C4" s="55"/>
      <c r="D4" s="56"/>
      <c r="E4" s="56"/>
      <c r="F4" s="56"/>
      <c r="G4" s="57"/>
      <c r="IU4" s="1" t="s">
        <v>21</v>
      </c>
      <c r="IV4" s="1">
        <v>4</v>
      </c>
    </row>
    <row r="5" spans="255:256" ht="12.75">
      <c r="IU5" s="1" t="s">
        <v>44</v>
      </c>
      <c r="IV5" s="1">
        <v>2</v>
      </c>
    </row>
    <row r="6" spans="3:256" ht="18">
      <c r="C6" s="60" t="s">
        <v>4</v>
      </c>
      <c r="D6" s="61"/>
      <c r="E6" s="62"/>
      <c r="IU6" s="1" t="s">
        <v>23</v>
      </c>
      <c r="IV6" s="1">
        <v>1</v>
      </c>
    </row>
    <row r="8" spans="3:5" ht="15.75">
      <c r="C8" s="63" t="s">
        <v>1</v>
      </c>
      <c r="D8" s="64"/>
      <c r="E8" s="12">
        <v>20000</v>
      </c>
    </row>
    <row r="9" spans="3:5" ht="15.75">
      <c r="C9" s="42" t="s">
        <v>2</v>
      </c>
      <c r="D9" s="43"/>
      <c r="E9" s="13">
        <v>0.06</v>
      </c>
    </row>
    <row r="10" spans="3:5" ht="15.75">
      <c r="C10" s="42" t="s">
        <v>3</v>
      </c>
      <c r="D10" s="43"/>
      <c r="E10" s="14">
        <v>5</v>
      </c>
    </row>
    <row r="11" spans="3:5" ht="15.75">
      <c r="C11" s="42" t="s">
        <v>5</v>
      </c>
      <c r="D11" s="43"/>
      <c r="E11" s="15" t="s">
        <v>23</v>
      </c>
    </row>
    <row r="12" spans="3:5" ht="15.75">
      <c r="C12" s="42" t="s">
        <v>6</v>
      </c>
      <c r="D12" s="43"/>
      <c r="E12" s="2">
        <f>IF((E9="")+OR(E11=""),"",E9/VLOOKUP(E11,IU1:IV6,2,FALSE))</f>
        <v>0.06</v>
      </c>
    </row>
    <row r="13" spans="3:8" ht="15.75">
      <c r="C13" s="40" t="s">
        <v>7</v>
      </c>
      <c r="D13" s="41"/>
      <c r="E13" s="3">
        <f>IF((E10="")+OR(E11=""),"",E10*VLOOKUP(E11,IU1:IV6,2,FALSE))</f>
        <v>5</v>
      </c>
      <c r="H13" s="34" t="s">
        <v>37</v>
      </c>
    </row>
    <row r="15" spans="3:8" ht="15.75">
      <c r="C15" s="48" t="str">
        <f>IF(E11="","","CUOTA DE PAGO"&amp;" "&amp;E11)</f>
        <v>CUOTA DE PAGO Anual</v>
      </c>
      <c r="D15" s="48"/>
      <c r="E15" s="4">
        <f>IF((E8="")+OR(E11=""),"",PMT(E12,E13,-E8))</f>
        <v>4747.928008623792</v>
      </c>
      <c r="H15" s="34" t="s">
        <v>41</v>
      </c>
    </row>
    <row r="17" ht="15.75">
      <c r="D17" s="5" t="s">
        <v>16</v>
      </c>
    </row>
    <row r="18" spans="4:5" ht="12.75">
      <c r="D18" s="6" t="s">
        <v>8</v>
      </c>
      <c r="E18" s="16">
        <v>200</v>
      </c>
    </row>
    <row r="19" spans="4:5" ht="12.75">
      <c r="D19" s="7" t="s">
        <v>9</v>
      </c>
      <c r="E19" s="16">
        <v>400</v>
      </c>
    </row>
    <row r="20" spans="4:5" ht="12.75">
      <c r="D20" s="7" t="s">
        <v>10</v>
      </c>
      <c r="E20" s="16"/>
    </row>
    <row r="21" spans="4:5" ht="12.75">
      <c r="D21" s="7" t="s">
        <v>11</v>
      </c>
      <c r="E21" s="16"/>
    </row>
    <row r="22" spans="4:5" ht="12.75">
      <c r="D22" s="7" t="s">
        <v>12</v>
      </c>
      <c r="E22" s="16"/>
    </row>
    <row r="23" spans="4:5" ht="12.75">
      <c r="D23" s="7" t="s">
        <v>13</v>
      </c>
      <c r="E23" s="16"/>
    </row>
    <row r="24" spans="4:5" ht="12.75">
      <c r="D24" s="8" t="s">
        <v>14</v>
      </c>
      <c r="E24" s="16"/>
    </row>
    <row r="25" spans="4:5" ht="15.75">
      <c r="D25" s="9" t="s">
        <v>15</v>
      </c>
      <c r="E25" s="10">
        <f>IF(SUM(E18:E24)&gt;0,SUM(E18:E24),"")</f>
        <v>600</v>
      </c>
    </row>
    <row r="27" spans="3:8" ht="18">
      <c r="C27" s="58" t="s">
        <v>17</v>
      </c>
      <c r="D27" s="59"/>
      <c r="E27" s="11">
        <f>IF(E11="","",RATE(E13,E15,-(E8-N(E25))))</f>
        <v>0.07129744507328113</v>
      </c>
      <c r="F27" s="46" t="str">
        <f>IF(E11="","","de periodicidad"&amp;" "&amp;E11)</f>
        <v>de periodicidad Anual</v>
      </c>
      <c r="G27" s="47"/>
      <c r="H27" s="47"/>
    </row>
    <row r="29" spans="3:5" ht="18">
      <c r="C29" s="44" t="s">
        <v>18</v>
      </c>
      <c r="D29" s="45"/>
      <c r="E29" s="11">
        <f>IF(E27="","",((1+E27)^(E13/E10))-1)</f>
        <v>0.07129744507328106</v>
      </c>
    </row>
  </sheetData>
  <sheetProtection password="CCD9" sheet="1" objects="1" scenarios="1"/>
  <mergeCells count="12">
    <mergeCell ref="C2:G4"/>
    <mergeCell ref="C27:D27"/>
    <mergeCell ref="C6:E6"/>
    <mergeCell ref="C8:D8"/>
    <mergeCell ref="C12:D12"/>
    <mergeCell ref="C13:D13"/>
    <mergeCell ref="C9:D9"/>
    <mergeCell ref="C10:D10"/>
    <mergeCell ref="C11:D11"/>
    <mergeCell ref="C29:D29"/>
    <mergeCell ref="F27:H27"/>
    <mergeCell ref="C15:D15"/>
  </mergeCells>
  <conditionalFormatting sqref="C15:D15">
    <cfRule type="cellIs" priority="1" dxfId="4" operator="equal" stopIfTrue="1">
      <formula>""</formula>
    </cfRule>
    <cfRule type="cellIs" priority="2" dxfId="5" operator="notEqual" stopIfTrue="1">
      <formula>"PAGO CUOTA"</formula>
    </cfRule>
  </conditionalFormatting>
  <conditionalFormatting sqref="E15">
    <cfRule type="cellIs" priority="3" dxfId="6" operator="between" stopIfTrue="1">
      <formula>0</formula>
      <formula>10000000000000</formula>
    </cfRule>
  </conditionalFormatting>
  <dataValidations count="1">
    <dataValidation type="list" allowBlank="1" showInputMessage="1" showErrorMessage="1" sqref="E11">
      <formula1>$IU$1:$IU$6</formula1>
    </dataValidation>
  </dataValidations>
  <hyperlinks>
    <hyperlink ref="H13" location="prestamo!A1" display="Prestamo"/>
    <hyperlink ref="H15" location="costeamortizado!A1" display="Coste amortizado"/>
  </hyperlink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V28"/>
  <sheetViews>
    <sheetView showGridLines="0" zoomScalePageLayoutView="0" workbookViewId="0" topLeftCell="A1">
      <selection activeCell="L8" sqref="L8"/>
    </sheetView>
  </sheetViews>
  <sheetFormatPr defaultColWidth="11.421875" defaultRowHeight="12.75"/>
  <cols>
    <col min="1" max="1" width="12.8515625" style="17" customWidth="1"/>
    <col min="2" max="2" width="14.00390625" style="17" customWidth="1"/>
    <col min="3" max="3" width="19.8515625" style="17" customWidth="1"/>
    <col min="4" max="4" width="20.140625" style="17" customWidth="1"/>
    <col min="5" max="5" width="15.28125" style="17" customWidth="1"/>
    <col min="6" max="6" width="15.00390625" style="17" customWidth="1"/>
    <col min="7" max="16384" width="11.421875" style="17" customWidth="1"/>
  </cols>
  <sheetData>
    <row r="1" spans="3:256" ht="20.25">
      <c r="C1" s="18" t="s">
        <v>19</v>
      </c>
      <c r="D1" s="19"/>
      <c r="E1" s="19"/>
      <c r="IV1" s="20" t="s">
        <v>20</v>
      </c>
    </row>
    <row r="2" ht="12.75">
      <c r="IV2" s="20" t="s">
        <v>21</v>
      </c>
    </row>
    <row r="3" spans="3:256" ht="15.75">
      <c r="C3" s="21" t="s">
        <v>22</v>
      </c>
      <c r="D3" s="22">
        <f>tipoefectivo!E8</f>
        <v>20000</v>
      </c>
      <c r="F3" s="34" t="s">
        <v>36</v>
      </c>
      <c r="IV3" s="20" t="s">
        <v>23</v>
      </c>
    </row>
    <row r="4" spans="3:4" ht="15.75">
      <c r="C4" s="21" t="s">
        <v>24</v>
      </c>
      <c r="D4" s="31">
        <f>IF(tipoefectivo!E9="","",tipoefectivo!E9)</f>
        <v>0.06</v>
      </c>
    </row>
    <row r="5" spans="3:6" ht="15.75">
      <c r="C5" s="23" t="s">
        <v>25</v>
      </c>
      <c r="D5" s="24">
        <f>IF((D4="")+OR(B8=""),"",D4/B8)</f>
        <v>0.06</v>
      </c>
      <c r="F5" s="34" t="s">
        <v>41</v>
      </c>
    </row>
    <row r="6" spans="3:4" ht="15.75">
      <c r="C6" s="21" t="s">
        <v>26</v>
      </c>
      <c r="D6" s="32">
        <f>tipoefectivo!E10</f>
        <v>5</v>
      </c>
    </row>
    <row r="7" spans="3:4" ht="15.75">
      <c r="C7" s="21" t="s">
        <v>27</v>
      </c>
      <c r="D7" s="32" t="str">
        <f>IF(tipoefectivo!E11="","",tipoefectivo!E11)</f>
        <v>Anual</v>
      </c>
    </row>
    <row r="8" spans="1:4" ht="15.75">
      <c r="A8" s="21" t="s">
        <v>28</v>
      </c>
      <c r="B8" s="33">
        <f>IF(D7="Mensual",12,IF(D7="Bimensual",6,IF(D7="Cuatrimestral",3,IF(D7="Trimestral",4,IF(D7="Semestral",2,IF(D7="Anual",1,""))))))</f>
        <v>1</v>
      </c>
      <c r="C8" s="21" t="s">
        <v>29</v>
      </c>
      <c r="D8" s="25">
        <f>IF((D6="")+OR(B8=""),"",D6*B8)</f>
        <v>5</v>
      </c>
    </row>
    <row r="10" spans="3:4" ht="15.75">
      <c r="C10" s="26" t="s">
        <v>30</v>
      </c>
      <c r="D10" s="27">
        <f>IF((D5="")+OR(D8="")+OR(D3=""),"",PMT(D5,D8,-D3))</f>
        <v>4747.928008623792</v>
      </c>
    </row>
    <row r="12" spans="1:5" ht="18">
      <c r="A12" s="36" t="s">
        <v>45</v>
      </c>
      <c r="B12" s="36">
        <f>tipoefectivo!E10/tipoefectivo!E10</f>
        <v>1</v>
      </c>
      <c r="C12" s="65" t="s">
        <v>31</v>
      </c>
      <c r="D12" s="65"/>
      <c r="E12" s="65"/>
    </row>
    <row r="13" ht="12.75">
      <c r="F13" s="66" t="s">
        <v>47</v>
      </c>
    </row>
    <row r="14" spans="2:6" ht="12.75">
      <c r="B14" s="21" t="s">
        <v>32</v>
      </c>
      <c r="C14" s="28" t="s">
        <v>33</v>
      </c>
      <c r="D14" s="21" t="s">
        <v>34</v>
      </c>
      <c r="E14" s="28" t="s">
        <v>35</v>
      </c>
      <c r="F14" s="66"/>
    </row>
    <row r="15" spans="1:6" ht="12.75">
      <c r="A15" s="29">
        <v>1</v>
      </c>
      <c r="B15" s="30">
        <f>IF(N(B$8)&gt;=A15,1,"")</f>
        <v>1</v>
      </c>
      <c r="C15" s="38">
        <f aca="true" t="shared" si="0" ref="C15:C26">IF(B15="","",D$10)</f>
        <v>4747.928008623792</v>
      </c>
      <c r="D15" s="38">
        <f aca="true" t="shared" si="1" ref="D15:D26">IF(B15="","",PPMT(D$5,B15,D$8,-D$3))</f>
        <v>3547.9280086237927</v>
      </c>
      <c r="E15" s="38">
        <f aca="true" t="shared" si="2" ref="E15:E26">IF(B15="","",IPMT(D$5,B15,D$8,-D$3))</f>
        <v>1200</v>
      </c>
      <c r="F15" s="37">
        <f>IF(B15="","",D3-D15)</f>
        <v>16452.071991376208</v>
      </c>
    </row>
    <row r="16" spans="1:6" ht="12.75">
      <c r="A16" s="29">
        <v>2</v>
      </c>
      <c r="B16" s="30">
        <f aca="true" t="shared" si="3" ref="B16:B26">IF(N(B$8)&gt;=A16,1+A15,"")</f>
      </c>
      <c r="C16" s="38">
        <f t="shared" si="0"/>
      </c>
      <c r="D16" s="38">
        <f t="shared" si="1"/>
      </c>
      <c r="E16" s="38">
        <f t="shared" si="2"/>
      </c>
      <c r="F16" s="37">
        <f>IF(B16="","",F15-D16)</f>
      </c>
    </row>
    <row r="17" spans="1:6" ht="12.75">
      <c r="A17" s="29">
        <v>3</v>
      </c>
      <c r="B17" s="30">
        <f t="shared" si="3"/>
      </c>
      <c r="C17" s="38">
        <f t="shared" si="0"/>
      </c>
      <c r="D17" s="38">
        <f t="shared" si="1"/>
      </c>
      <c r="E17" s="38">
        <f t="shared" si="2"/>
      </c>
      <c r="F17" s="37">
        <f aca="true" t="shared" si="4" ref="F17:F26">IF(B17="","",F16-D17)</f>
      </c>
    </row>
    <row r="18" spans="1:6" ht="12.75">
      <c r="A18" s="29">
        <v>4</v>
      </c>
      <c r="B18" s="30">
        <f t="shared" si="3"/>
      </c>
      <c r="C18" s="38">
        <f t="shared" si="0"/>
      </c>
      <c r="D18" s="38">
        <f t="shared" si="1"/>
      </c>
      <c r="E18" s="38">
        <f t="shared" si="2"/>
      </c>
      <c r="F18" s="37">
        <f t="shared" si="4"/>
      </c>
    </row>
    <row r="19" spans="1:6" ht="12.75">
      <c r="A19" s="29">
        <v>5</v>
      </c>
      <c r="B19" s="30">
        <f t="shared" si="3"/>
      </c>
      <c r="C19" s="38">
        <f t="shared" si="0"/>
      </c>
      <c r="D19" s="38">
        <f t="shared" si="1"/>
      </c>
      <c r="E19" s="38">
        <f t="shared" si="2"/>
      </c>
      <c r="F19" s="37">
        <f t="shared" si="4"/>
      </c>
    </row>
    <row r="20" spans="1:6" ht="12.75">
      <c r="A20" s="29">
        <v>6</v>
      </c>
      <c r="B20" s="30">
        <f t="shared" si="3"/>
      </c>
      <c r="C20" s="38">
        <f t="shared" si="0"/>
      </c>
      <c r="D20" s="38">
        <f t="shared" si="1"/>
      </c>
      <c r="E20" s="38">
        <f t="shared" si="2"/>
      </c>
      <c r="F20" s="37">
        <f t="shared" si="4"/>
      </c>
    </row>
    <row r="21" spans="1:6" ht="12.75">
      <c r="A21" s="29">
        <v>7</v>
      </c>
      <c r="B21" s="30">
        <f t="shared" si="3"/>
      </c>
      <c r="C21" s="38">
        <f t="shared" si="0"/>
      </c>
      <c r="D21" s="38">
        <f t="shared" si="1"/>
      </c>
      <c r="E21" s="38">
        <f t="shared" si="2"/>
      </c>
      <c r="F21" s="37">
        <f t="shared" si="4"/>
      </c>
    </row>
    <row r="22" spans="1:6" ht="12.75">
      <c r="A22" s="29">
        <v>8</v>
      </c>
      <c r="B22" s="30">
        <f t="shared" si="3"/>
      </c>
      <c r="C22" s="38">
        <f t="shared" si="0"/>
      </c>
      <c r="D22" s="38">
        <f t="shared" si="1"/>
      </c>
      <c r="E22" s="38">
        <f t="shared" si="2"/>
      </c>
      <c r="F22" s="37">
        <f t="shared" si="4"/>
      </c>
    </row>
    <row r="23" spans="1:6" ht="12.75">
      <c r="A23" s="29">
        <v>9</v>
      </c>
      <c r="B23" s="30">
        <f t="shared" si="3"/>
      </c>
      <c r="C23" s="38">
        <f t="shared" si="0"/>
      </c>
      <c r="D23" s="38">
        <f t="shared" si="1"/>
      </c>
      <c r="E23" s="38">
        <f t="shared" si="2"/>
      </c>
      <c r="F23" s="37">
        <f t="shared" si="4"/>
      </c>
    </row>
    <row r="24" spans="1:8" ht="12.75">
      <c r="A24" s="29">
        <v>10</v>
      </c>
      <c r="B24" s="30">
        <f t="shared" si="3"/>
      </c>
      <c r="C24" s="38">
        <f t="shared" si="0"/>
      </c>
      <c r="D24" s="38">
        <f t="shared" si="1"/>
      </c>
      <c r="E24" s="38">
        <f t="shared" si="2"/>
      </c>
      <c r="F24" s="37">
        <f t="shared" si="4"/>
      </c>
      <c r="G24" s="67">
        <f>IF(F28&lt;0.001,"FINAL DEL PRESTAMO","")</f>
      </c>
      <c r="H24" s="67"/>
    </row>
    <row r="25" spans="1:8" ht="12.75">
      <c r="A25" s="29">
        <v>11</v>
      </c>
      <c r="B25" s="30">
        <f t="shared" si="3"/>
      </c>
      <c r="C25" s="38">
        <f t="shared" si="0"/>
      </c>
      <c r="D25" s="38">
        <f t="shared" si="1"/>
      </c>
      <c r="E25" s="38">
        <f t="shared" si="2"/>
      </c>
      <c r="F25" s="37">
        <f t="shared" si="4"/>
      </c>
      <c r="G25" s="67"/>
      <c r="H25" s="67"/>
    </row>
    <row r="26" spans="1:8" ht="12.75">
      <c r="A26" s="29">
        <v>12</v>
      </c>
      <c r="B26" s="30">
        <f t="shared" si="3"/>
      </c>
      <c r="C26" s="38">
        <f t="shared" si="0"/>
      </c>
      <c r="D26" s="38">
        <f t="shared" si="1"/>
      </c>
      <c r="E26" s="38">
        <f t="shared" si="2"/>
      </c>
      <c r="F26" s="37">
        <f t="shared" si="4"/>
      </c>
      <c r="G26" s="67"/>
      <c r="H26" s="67"/>
    </row>
    <row r="27" spans="3:8" ht="12.75">
      <c r="C27" s="38"/>
      <c r="D27" s="37"/>
      <c r="E27" s="37"/>
      <c r="F27" s="37"/>
      <c r="G27" s="67"/>
      <c r="H27" s="67"/>
    </row>
    <row r="28" spans="2:8" ht="12.75">
      <c r="B28" s="21" t="str">
        <f>IF(N(B8)&gt;=1,"TOTAL AÑO","")</f>
        <v>TOTAL AÑO</v>
      </c>
      <c r="C28" s="38">
        <f>IF(N($B$8)&gt;=1,SUM(C15:C26),"")</f>
        <v>4747.928008623792</v>
      </c>
      <c r="D28" s="38">
        <f>IF(N($B$8)&gt;=1,SUM(D15:D26),"")</f>
        <v>3547.9280086237927</v>
      </c>
      <c r="E28" s="38">
        <f>IF(N($B$8)&gt;=1,SUM(E15:E26),"")</f>
        <v>1200</v>
      </c>
      <c r="F28" s="39">
        <f>MIN(F15:F27)</f>
        <v>16452.071991376208</v>
      </c>
      <c r="G28" s="67"/>
      <c r="H28" s="67"/>
    </row>
  </sheetData>
  <sheetProtection/>
  <mergeCells count="3">
    <mergeCell ref="C12:E12"/>
    <mergeCell ref="F13:F14"/>
    <mergeCell ref="G24:H28"/>
  </mergeCells>
  <conditionalFormatting sqref="F28">
    <cfRule type="cellIs" priority="1" dxfId="7" operator="lessThan" stopIfTrue="1">
      <formula>0.001</formula>
    </cfRule>
  </conditionalFormatting>
  <hyperlinks>
    <hyperlink ref="F3" location="tipoefectivo!A1" display="Tipo efectivo"/>
    <hyperlink ref="F5" location="costeamortizado!A1" display="Coste amortizado"/>
  </hyperlinks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V28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2.8515625" style="17" customWidth="1"/>
    <col min="2" max="2" width="14.00390625" style="17" customWidth="1"/>
    <col min="3" max="3" width="27.57421875" style="17" customWidth="1"/>
    <col min="4" max="4" width="20.140625" style="17" customWidth="1"/>
    <col min="5" max="5" width="15.28125" style="17" customWidth="1"/>
    <col min="6" max="6" width="13.8515625" style="17" customWidth="1"/>
    <col min="7" max="16384" width="11.421875" style="17" customWidth="1"/>
  </cols>
  <sheetData>
    <row r="1" spans="3:256" ht="20.25">
      <c r="C1" s="18" t="s">
        <v>19</v>
      </c>
      <c r="D1" s="19"/>
      <c r="E1" s="19"/>
      <c r="IV1" s="20" t="s">
        <v>20</v>
      </c>
    </row>
    <row r="2" ht="12.75">
      <c r="IV2" s="20" t="s">
        <v>21</v>
      </c>
    </row>
    <row r="3" spans="3:256" ht="15.75">
      <c r="C3" s="21" t="s">
        <v>38</v>
      </c>
      <c r="D3" s="22">
        <f>tipoefectivo!E8-tipoefectivo!E25</f>
        <v>19400</v>
      </c>
      <c r="F3" s="34" t="s">
        <v>36</v>
      </c>
      <c r="IV3" s="20" t="s">
        <v>23</v>
      </c>
    </row>
    <row r="4" spans="3:4" ht="15.75">
      <c r="C4" s="21" t="s">
        <v>40</v>
      </c>
      <c r="D4" s="31">
        <f>IF(tipoefectivo!E9="","",tipoefectivo!E29)</f>
        <v>0.07129744507328106</v>
      </c>
    </row>
    <row r="5" spans="3:6" ht="15.75">
      <c r="C5" s="35" t="s">
        <v>39</v>
      </c>
      <c r="D5" s="31">
        <f>IF(tipoefectivo!E9="","",tipoefectivo!E27)</f>
        <v>0.07129744507328113</v>
      </c>
      <c r="F5" s="34" t="s">
        <v>37</v>
      </c>
    </row>
    <row r="6" spans="3:4" ht="15.75">
      <c r="C6" s="21" t="s">
        <v>26</v>
      </c>
      <c r="D6" s="32">
        <f>tipoefectivo!E10</f>
        <v>5</v>
      </c>
    </row>
    <row r="7" spans="3:4" ht="15.75">
      <c r="C7" s="21" t="s">
        <v>27</v>
      </c>
      <c r="D7" s="32" t="str">
        <f>IF(tipoefectivo!E11="","",tipoefectivo!E11)</f>
        <v>Anual</v>
      </c>
    </row>
    <row r="8" spans="1:4" ht="15.75">
      <c r="A8" s="21" t="s">
        <v>28</v>
      </c>
      <c r="B8" s="33">
        <f>IF(D7="Mensual",12,IF(D7="Bimensual",6,IF(D7="Cuatrimestral",3,IF(D7="Trimestral",4,IF(D7="Semestral",2,IF(D7="Anual",1,""))))))</f>
        <v>1</v>
      </c>
      <c r="C8" s="21" t="s">
        <v>29</v>
      </c>
      <c r="D8" s="25">
        <f>IF((D6="")+OR(B8=""),"",D6*B8)</f>
        <v>5</v>
      </c>
    </row>
    <row r="10" spans="3:4" ht="15.75">
      <c r="C10" s="26" t="s">
        <v>30</v>
      </c>
      <c r="D10" s="27">
        <f>IF((D5="")+OR(D8="")+OR(D3=""),"",tipoefectivo!E15)</f>
        <v>4747.928008623792</v>
      </c>
    </row>
    <row r="12" spans="1:5" ht="18">
      <c r="A12" s="36" t="s">
        <v>45</v>
      </c>
      <c r="B12" s="36">
        <f>tipoefectivo!E10/tipoefectivo!E10</f>
        <v>1</v>
      </c>
      <c r="C12" s="65" t="s">
        <v>46</v>
      </c>
      <c r="D12" s="65"/>
      <c r="E12" s="65"/>
    </row>
    <row r="13" ht="12.75">
      <c r="F13" s="68" t="s">
        <v>38</v>
      </c>
    </row>
    <row r="14" spans="2:6" ht="12.75">
      <c r="B14" s="21" t="s">
        <v>32</v>
      </c>
      <c r="C14" s="28" t="s">
        <v>33</v>
      </c>
      <c r="D14" s="21" t="s">
        <v>34</v>
      </c>
      <c r="E14" s="28" t="s">
        <v>35</v>
      </c>
      <c r="F14" s="68"/>
    </row>
    <row r="15" spans="1:6" ht="12.75">
      <c r="A15" s="29">
        <v>1</v>
      </c>
      <c r="B15" s="30">
        <f>IF(N(B$8)&gt;=A15,1,"")</f>
        <v>1</v>
      </c>
      <c r="C15" s="38">
        <f aca="true" t="shared" si="0" ref="C15:C26">IF(B15="","",D$10)</f>
        <v>4747.928008623792</v>
      </c>
      <c r="D15" s="38">
        <f aca="true" t="shared" si="1" ref="D15:D26">IF(B15="","",PPMT(D$5,B15,D$8,-D$3))</f>
        <v>3364.757574202141</v>
      </c>
      <c r="E15" s="38">
        <f aca="true" t="shared" si="2" ref="E15:E26">IF(B15="","",IPMT(D$5,B15,D$8,-D$3))</f>
        <v>1383.170434421654</v>
      </c>
      <c r="F15" s="38">
        <f>IF(B15="","",D3-D15)</f>
        <v>16035.24242579786</v>
      </c>
    </row>
    <row r="16" spans="1:6" ht="12.75">
      <c r="A16" s="29">
        <v>2</v>
      </c>
      <c r="B16" s="30">
        <f aca="true" t="shared" si="3" ref="B16:B26">IF(N(B$8)&gt;=A16,1+A15,"")</f>
      </c>
      <c r="C16" s="38">
        <f t="shared" si="0"/>
      </c>
      <c r="D16" s="38">
        <f t="shared" si="1"/>
      </c>
      <c r="E16" s="38">
        <f t="shared" si="2"/>
      </c>
      <c r="F16" s="38">
        <f>IF(B16="","",F15-D16)</f>
      </c>
    </row>
    <row r="17" spans="1:6" ht="12.75">
      <c r="A17" s="29">
        <v>3</v>
      </c>
      <c r="B17" s="30">
        <f t="shared" si="3"/>
      </c>
      <c r="C17" s="38">
        <f t="shared" si="0"/>
      </c>
      <c r="D17" s="38">
        <f t="shared" si="1"/>
      </c>
      <c r="E17" s="38">
        <f t="shared" si="2"/>
      </c>
      <c r="F17" s="38">
        <f aca="true" t="shared" si="4" ref="F17:F26">IF(B17="","",F16-D17)</f>
      </c>
    </row>
    <row r="18" spans="1:6" ht="12.75">
      <c r="A18" s="29">
        <v>4</v>
      </c>
      <c r="B18" s="30">
        <f t="shared" si="3"/>
      </c>
      <c r="C18" s="38">
        <f t="shared" si="0"/>
      </c>
      <c r="D18" s="38">
        <f t="shared" si="1"/>
      </c>
      <c r="E18" s="38">
        <f t="shared" si="2"/>
      </c>
      <c r="F18" s="38">
        <f t="shared" si="4"/>
      </c>
    </row>
    <row r="19" spans="1:6" ht="12.75">
      <c r="A19" s="29">
        <v>5</v>
      </c>
      <c r="B19" s="30">
        <f t="shared" si="3"/>
      </c>
      <c r="C19" s="38">
        <f t="shared" si="0"/>
      </c>
      <c r="D19" s="38">
        <f t="shared" si="1"/>
      </c>
      <c r="E19" s="38">
        <f t="shared" si="2"/>
      </c>
      <c r="F19" s="38">
        <f t="shared" si="4"/>
      </c>
    </row>
    <row r="20" spans="1:6" ht="12.75">
      <c r="A20" s="29">
        <v>6</v>
      </c>
      <c r="B20" s="30">
        <f t="shared" si="3"/>
      </c>
      <c r="C20" s="38">
        <f t="shared" si="0"/>
      </c>
      <c r="D20" s="38">
        <f t="shared" si="1"/>
      </c>
      <c r="E20" s="38">
        <f t="shared" si="2"/>
      </c>
      <c r="F20" s="38">
        <f t="shared" si="4"/>
      </c>
    </row>
    <row r="21" spans="1:6" ht="12.75">
      <c r="A21" s="29">
        <v>7</v>
      </c>
      <c r="B21" s="30">
        <f t="shared" si="3"/>
      </c>
      <c r="C21" s="38">
        <f t="shared" si="0"/>
      </c>
      <c r="D21" s="38">
        <f t="shared" si="1"/>
      </c>
      <c r="E21" s="38">
        <f t="shared" si="2"/>
      </c>
      <c r="F21" s="38">
        <f t="shared" si="4"/>
      </c>
    </row>
    <row r="22" spans="1:6" ht="12.75">
      <c r="A22" s="29">
        <v>8</v>
      </c>
      <c r="B22" s="30">
        <f t="shared" si="3"/>
      </c>
      <c r="C22" s="38">
        <f t="shared" si="0"/>
      </c>
      <c r="D22" s="38">
        <f t="shared" si="1"/>
      </c>
      <c r="E22" s="38">
        <f t="shared" si="2"/>
      </c>
      <c r="F22" s="38">
        <f t="shared" si="4"/>
      </c>
    </row>
    <row r="23" spans="1:6" ht="12.75">
      <c r="A23" s="29">
        <v>9</v>
      </c>
      <c r="B23" s="30">
        <f t="shared" si="3"/>
      </c>
      <c r="C23" s="38">
        <f t="shared" si="0"/>
      </c>
      <c r="D23" s="38">
        <f t="shared" si="1"/>
      </c>
      <c r="E23" s="38">
        <f t="shared" si="2"/>
      </c>
      <c r="F23" s="38">
        <f t="shared" si="4"/>
      </c>
    </row>
    <row r="24" spans="1:8" ht="12.75">
      <c r="A24" s="29">
        <v>10</v>
      </c>
      <c r="B24" s="30">
        <f t="shared" si="3"/>
      </c>
      <c r="C24" s="38">
        <f t="shared" si="0"/>
      </c>
      <c r="D24" s="38">
        <f t="shared" si="1"/>
      </c>
      <c r="E24" s="38">
        <f t="shared" si="2"/>
      </c>
      <c r="F24" s="38">
        <f t="shared" si="4"/>
      </c>
      <c r="G24" s="67">
        <f>IF(F28&lt;0.001,"FIN DE COSTE TOTAL AMORTIZADO","")</f>
      </c>
      <c r="H24" s="67"/>
    </row>
    <row r="25" spans="1:8" ht="12.75">
      <c r="A25" s="29">
        <v>11</v>
      </c>
      <c r="B25" s="30">
        <f t="shared" si="3"/>
      </c>
      <c r="C25" s="38">
        <f t="shared" si="0"/>
      </c>
      <c r="D25" s="38">
        <f t="shared" si="1"/>
      </c>
      <c r="E25" s="38">
        <f t="shared" si="2"/>
      </c>
      <c r="F25" s="38">
        <f t="shared" si="4"/>
      </c>
      <c r="G25" s="67"/>
      <c r="H25" s="67"/>
    </row>
    <row r="26" spans="1:8" ht="12.75">
      <c r="A26" s="29">
        <v>12</v>
      </c>
      <c r="B26" s="30">
        <f t="shared" si="3"/>
      </c>
      <c r="C26" s="38">
        <f t="shared" si="0"/>
      </c>
      <c r="D26" s="38">
        <f t="shared" si="1"/>
      </c>
      <c r="E26" s="38">
        <f t="shared" si="2"/>
      </c>
      <c r="F26" s="38">
        <f t="shared" si="4"/>
      </c>
      <c r="G26" s="67"/>
      <c r="H26" s="67"/>
    </row>
    <row r="27" spans="3:8" ht="12.75">
      <c r="C27" s="38"/>
      <c r="D27" s="37"/>
      <c r="E27" s="37"/>
      <c r="F27" s="37"/>
      <c r="G27" s="67"/>
      <c r="H27" s="67"/>
    </row>
    <row r="28" spans="2:8" ht="12.75">
      <c r="B28" s="21" t="str">
        <f>IF(N(B8)&gt;=1,"TOTAL AÑO","")</f>
        <v>TOTAL AÑO</v>
      </c>
      <c r="C28" s="38">
        <f>IF(N($B$8)&gt;=1,SUM(C15:C26),"")</f>
        <v>4747.928008623792</v>
      </c>
      <c r="D28" s="38">
        <f>IF(N($B$8)&gt;=1,SUM(D15:D26),"")</f>
        <v>3364.757574202141</v>
      </c>
      <c r="E28" s="38">
        <f>IF(N($B$8)&gt;=1,SUM(E15:E26),"")</f>
        <v>1383.170434421654</v>
      </c>
      <c r="F28" s="38">
        <f>MIN(F15:F27)</f>
        <v>16035.24242579786</v>
      </c>
      <c r="G28" s="67"/>
      <c r="H28" s="67"/>
    </row>
  </sheetData>
  <sheetProtection/>
  <mergeCells count="3">
    <mergeCell ref="F13:F14"/>
    <mergeCell ref="G24:H28"/>
    <mergeCell ref="C12:E12"/>
  </mergeCells>
  <conditionalFormatting sqref="F28">
    <cfRule type="cellIs" priority="1" dxfId="7" operator="lessThan" stopIfTrue="1">
      <formula>0.001</formula>
    </cfRule>
  </conditionalFormatting>
  <hyperlinks>
    <hyperlink ref="F3" location="tipoefectivo!A1" display="Tipo efectivo"/>
    <hyperlink ref="F5" location="prestamo!A1" display="Prestamo"/>
  </hyperlinks>
  <printOptions/>
  <pageMargins left="0.75" right="0.75" top="1" bottom="1" header="0" footer="0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E6:F9"/>
  <sheetViews>
    <sheetView zoomScalePageLayoutView="0" workbookViewId="0" topLeftCell="A1">
      <selection activeCell="E6" sqref="E6"/>
    </sheetView>
  </sheetViews>
  <sheetFormatPr defaultColWidth="11.421875" defaultRowHeight="12.75"/>
  <sheetData>
    <row r="6" spans="5:6" ht="12.75">
      <c r="E6">
        <v>25</v>
      </c>
      <c r="F6">
        <v>24</v>
      </c>
    </row>
    <row r="9" ht="12.75">
      <c r="F9">
        <f>E6-(F6-1)</f>
        <v>2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Bonmati Martinez</dc:creator>
  <cp:keywords/>
  <dc:description/>
  <cp:lastModifiedBy>Julio</cp:lastModifiedBy>
  <dcterms:created xsi:type="dcterms:W3CDTF">2008-01-21T13:09:32Z</dcterms:created>
  <dcterms:modified xsi:type="dcterms:W3CDTF">2016-12-10T18:27:29Z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